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180" windowWidth="19440" windowHeight="7050"/>
  </bookViews>
  <sheets>
    <sheet name="DISTRICT HEATING_CO32_CO34_calc" sheetId="4" r:id="rId1"/>
    <sheet name="help_data_BU" sheetId="3" r:id="rId2"/>
  </sheets>
  <definedNames>
    <definedName name="_xlnm.Print_Area" localSheetId="0">'DISTRICT HEATING_CO32_CO34_calc'!$A$1:$F$45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4" l="1"/>
  <c r="C16" i="4"/>
  <c r="C30" i="4"/>
  <c r="D84" i="3"/>
  <c r="C28" i="4" l="1"/>
  <c r="E80" i="3" l="1"/>
  <c r="E79" i="3"/>
  <c r="F66" i="3"/>
  <c r="F65" i="3"/>
  <c r="F64" i="3"/>
  <c r="F63" i="3"/>
  <c r="E66" i="3"/>
  <c r="E65" i="3"/>
  <c r="E64" i="3"/>
  <c r="E63" i="3"/>
  <c r="E49" i="3" l="1"/>
  <c r="F49" i="3" s="1"/>
  <c r="D66" i="3" s="1"/>
  <c r="C73" i="3" s="1"/>
  <c r="E47" i="3"/>
  <c r="F47" i="3" s="1"/>
  <c r="D64" i="3" s="1"/>
  <c r="D80" i="3" s="1"/>
  <c r="F80" i="3" s="1"/>
  <c r="C71" i="3" l="1"/>
  <c r="C36" i="4"/>
  <c r="C26" i="4"/>
  <c r="C5" i="4" l="1"/>
  <c r="E48" i="3" l="1"/>
  <c r="F48" i="3" s="1"/>
  <c r="D65" i="3" s="1"/>
  <c r="C72" i="3" s="1"/>
  <c r="E46" i="3"/>
  <c r="F46" i="3" s="1"/>
  <c r="D63" i="3" s="1"/>
  <c r="D79" i="3" s="1"/>
  <c r="F79" i="3" l="1"/>
  <c r="F81" i="3" s="1"/>
  <c r="C70" i="3"/>
  <c r="C74" i="3" s="1"/>
  <c r="C17" i="4" l="1"/>
  <c r="C29" i="4"/>
  <c r="C37" i="4" s="1"/>
  <c r="C15" i="4" l="1"/>
  <c r="C34" i="4"/>
  <c r="C38" i="4" s="1"/>
  <c r="C39" i="4" s="1"/>
  <c r="C40" i="4" s="1"/>
  <c r="C13" i="4" s="1"/>
  <c r="C14" i="4" s="1"/>
  <c r="C22" i="4" l="1"/>
  <c r="C21" i="4"/>
</calcChain>
</file>

<file path=xl/sharedStrings.xml><?xml version="1.0" encoding="utf-8"?>
<sst xmlns="http://schemas.openxmlformats.org/spreadsheetml/2006/main" count="235" uniqueCount="131">
  <si>
    <t>Κόστος δικτύου μεταφοράς θερμικής ενέργειας</t>
  </si>
  <si>
    <t>Κόστος δικτύου διανομής θερμικής ενέργειας</t>
  </si>
  <si>
    <t>Πραγματικός πληθυσμός του οικισμού</t>
  </si>
  <si>
    <t>Ποσοστό κάλυψης</t>
  </si>
  <si>
    <t>Θερμική ισχύς μεταφοράς θερμικής ενέργειας</t>
  </si>
  <si>
    <t>Τύπος κτιρίου</t>
  </si>
  <si>
    <t>Κλιματική Ζώνη</t>
  </si>
  <si>
    <t>Έτος κατασκευής</t>
  </si>
  <si>
    <t>SHD (kWh)</t>
  </si>
  <si>
    <t>Μονοκατοικία</t>
  </si>
  <si>
    <t>A</t>
  </si>
  <si>
    <t>Πριν 1980</t>
  </si>
  <si>
    <t>1980-2010</t>
  </si>
  <si>
    <t>Μετά 2010</t>
  </si>
  <si>
    <t>Α</t>
  </si>
  <si>
    <t>Σταθμισμένος μέσος</t>
  </si>
  <si>
    <t>B</t>
  </si>
  <si>
    <t>Β</t>
  </si>
  <si>
    <t>Γ</t>
  </si>
  <si>
    <t>Δ</t>
  </si>
  <si>
    <t>Πολυκατοικία</t>
  </si>
  <si>
    <t>Ωφελούμενα νοικοκυριά</t>
  </si>
  <si>
    <t>Κόστος μονάδας παραγωγής</t>
  </si>
  <si>
    <t>Κόστος αντλιοστασίων</t>
  </si>
  <si>
    <t>Συνολικό κόστος επέκτασης τηλεθέρμανσης</t>
  </si>
  <si>
    <t>Απόσταση μεταφοράς θερμικής ενέργειας</t>
  </si>
  <si>
    <t>Απαιτούμενη θερμική ισχύς μεταφοράς (MWth)</t>
  </si>
  <si>
    <t>Μέσο κόστος επέκτασης δικτύου Τηλεθέρμανσης ανά εγκατεστημένη θερμική ισχύ</t>
  </si>
  <si>
    <t xml:space="preserve"> (1)</t>
  </si>
  <si>
    <t xml:space="preserve"> (2)</t>
  </si>
  <si>
    <t xml:space="preserve"> €</t>
  </si>
  <si>
    <t xml:space="preserve"> €/kWth</t>
  </si>
  <si>
    <t xml:space="preserve"> MWth</t>
  </si>
  <si>
    <t>Π/Υ</t>
  </si>
  <si>
    <t>Eκτιμώμενος θερμαινόμενος πληθυσμός ανά εγκατεστημένη θερμική ισχύ μεταφοράς</t>
  </si>
  <si>
    <t xml:space="preserve"> άτομα/ΜWth</t>
  </si>
  <si>
    <t xml:space="preserve"> (4)</t>
  </si>
  <si>
    <t>Μέσος αριθμός ατόμων / νοικοκυριό</t>
  </si>
  <si>
    <t xml:space="preserve"> άτομα/νοικοκυριό</t>
  </si>
  <si>
    <t xml:space="preserve"> (5)</t>
  </si>
  <si>
    <t xml:space="preserve"> νοικοκυριά</t>
  </si>
  <si>
    <t xml:space="preserve"> άτομα</t>
  </si>
  <si>
    <t xml:space="preserve"> (a1)</t>
  </si>
  <si>
    <t xml:space="preserve"> (a2)=0,001x(a1)x51,398*(a1)^(-0,2671)</t>
  </si>
  <si>
    <t xml:space="preserve"> (a3)</t>
  </si>
  <si>
    <t xml:space="preserve"> (a6)=(a1)/(a5)</t>
  </si>
  <si>
    <t xml:space="preserve"> (a5)=(a2)x(a3)x(a4)</t>
  </si>
  <si>
    <t xml:space="preserve"> (a7)=155764x(a5)^(-0,5199)*(a8)*(a5)</t>
  </si>
  <si>
    <t xml:space="preserve"> (a8)</t>
  </si>
  <si>
    <t xml:space="preserve"> km</t>
  </si>
  <si>
    <t xml:space="preserve"> (a9)=7000x(a1)^(-0,1889)x(a1)</t>
  </si>
  <si>
    <t xml:space="preserve"> (a11)=10%x[(a7)+(a9)]</t>
  </si>
  <si>
    <t xml:space="preserve"> (a12)=(a7)+(a9)+(a10)+(a11)</t>
  </si>
  <si>
    <t>Κόστος ανά ισχύς μεταφερόμενης θερμικής ενέργειας</t>
  </si>
  <si>
    <t xml:space="preserve"> (a13)=(a12)/((a5)*1000)</t>
  </si>
  <si>
    <t>Τιμή προς χρήση για το κόστος ανά ισχύς μεταφερόμενης θερμικής ενέργειας</t>
  </si>
  <si>
    <t xml:space="preserve"> (a13)final</t>
  </si>
  <si>
    <t xml:space="preserve"> (7)</t>
  </si>
  <si>
    <t xml:space="preserve"> (8)</t>
  </si>
  <si>
    <t>Βαθμός απόδοσης νέας θέρμανσης - Τηλεθέρμανση</t>
  </si>
  <si>
    <t>Συντελεστής μετατροπής πρωτογενούς ενέργειας - Πετρέλαιο</t>
  </si>
  <si>
    <t>Βαθμός απόδοσης υφιστάμενης θέρμανσης - Απλός Λέβητας Πετρελαίου</t>
  </si>
  <si>
    <t>Συντελεστής μετατροπής πρωτογενούς ενέργειας - Τηλεθέρμανση</t>
  </si>
  <si>
    <t>Συντελεστής εκπομπής CO2 - Πετρέλαιο θέρμανσης</t>
  </si>
  <si>
    <t>Συντελεστής εκπομπής CO2 - Τηλεθέρμανση</t>
  </si>
  <si>
    <t>ΕΙΣΑΓΩΓΗ ΔΕΔΟΜΕΝΩΝ - ΥΠΟΛΟΓΙΣΜΟΙ</t>
  </si>
  <si>
    <t>CO32: μείωση ετήσιας κατανάλωσης πρωτογενούς ενέργειας από δίκτυα Τηλεθέρμανσης</t>
  </si>
  <si>
    <t xml:space="preserve"> MWh/έτος</t>
  </si>
  <si>
    <t xml:space="preserve"> (3)</t>
  </si>
  <si>
    <t xml:space="preserve"> (6)</t>
  </si>
  <si>
    <t xml:space="preserve"> (r1)=(a13)final</t>
  </si>
  <si>
    <t>Υπολογισμός μέσου κόστους επέκτασης δικτύου Τηλεθέρμανσης ανά εγκατεστημένη θερμική ισχύ - (r1)</t>
  </si>
  <si>
    <t xml:space="preserve"> (r2)=(1)/((r1)*1000)</t>
  </si>
  <si>
    <t xml:space="preserve"> (r3)=(a6)</t>
  </si>
  <si>
    <t>Υπολογισμός θερμαινόμενου πληθυσμού ανά εγκαταστημένη θερμική ισχύ μεταφοράς - (r3)</t>
  </si>
  <si>
    <t xml:space="preserve"> (r4)=(r2)x(r3)/(2)</t>
  </si>
  <si>
    <t>ΕΝΔΙΑΜΕΣΑ ΑΠΟΤΕΛΕΣΜΑΤΑ</t>
  </si>
  <si>
    <t>CO34: εκτιμώμενη ετήσια μείωση εκπομπών αερίων θερμοκηπίου</t>
  </si>
  <si>
    <t xml:space="preserve"> tn CO2/MWh</t>
  </si>
  <si>
    <t xml:space="preserve"> tn CO2/έτος</t>
  </si>
  <si>
    <t xml:space="preserve"> (r5) --&gt; από το φύλλο help data</t>
  </si>
  <si>
    <t xml:space="preserve"> kWh/νοικοκυριό</t>
  </si>
  <si>
    <t xml:space="preserve"> (r6)=(r4)*(r5)/1000</t>
  </si>
  <si>
    <t xml:space="preserve"> (CO32)=(r6)/(3)x(5)-(r6)/(4)x(6)</t>
  </si>
  <si>
    <t xml:space="preserve"> (CO34)=(r6)/(3)x(7)-(r6)/(4)x(8)</t>
  </si>
  <si>
    <t xml:space="preserve"> (a4) --&gt; από το φύλλο help data</t>
  </si>
  <si>
    <t xml:space="preserve"> (Εισαγωγή δεδομένων στα λευκά κελιά)</t>
  </si>
  <si>
    <t>Ετήσια ζήτηση θέρμανσης χώρων ανά νοικοκυριό</t>
  </si>
  <si>
    <t>Ωφέλιμη ενέργεια - Θέρμανση ανά έτος</t>
  </si>
  <si>
    <t>Πηγή Στοιχείων:</t>
  </si>
  <si>
    <t>ΕΞΙΣΩΣΕΙΣ «ΑΠΟ ΤΗ ΒΑΣΗ ΣΤΗΝ ΚΟΡΥΦΗ» ΓΙΑ ΤΟΝ ΠΡΟΣΔΙΟΡΙΣΜΟ ΤΗΣ ΕΞΟΙΚΟΝΟΜΗΣΗΣ</t>
  </si>
  <si>
    <t>ΕΝΕΡΓΕΙΑΣ  ΑΠΟ  ΜΕΤΡΑ  ΒΕΛΤΙΩΣΗΣ   ΤΗΣ  ΕΝΕΡΓΕΙΑΚΗΣ   ΑΠΟΔΟΣΗΣ  ΣΤΟ  ΠΛΑΙΣΙΟ   ΤΟΥ</t>
  </si>
  <si>
    <t>ΚΑΘΕΣΤΩΤΟΣ ΕΠΙΒΟΛΗΣ ΤΗΣ ΥΠΟΧΡΕΩΣΗΣ ΕΝΕΡΓΕΙΑΚΗΣ ΑΠΟΔΟΣΗΣ</t>
  </si>
  <si>
    <t>ΚΑΠΕ 2017, Έκδοση 5, 20/12/2017, σελίδες 33, 34</t>
  </si>
  <si>
    <t>SHD:</t>
  </si>
  <si>
    <t xml:space="preserve">Μέση  απαιτούμενη  ενέργεια για  θέρμανση  σε κτίριο του </t>
  </si>
  <si>
    <t>Αναγωγή μέσης απαιτούμενης ενέργειας θέρμανσης ανά νοικοκυριό.</t>
  </si>
  <si>
    <t>Τύπος</t>
  </si>
  <si>
    <t>Αριθμός νοικοκυριών</t>
  </si>
  <si>
    <t>SHD (kWh/νοικοκυριό)</t>
  </si>
  <si>
    <t>Συντελεστές Συμμετοχής</t>
  </si>
  <si>
    <t>Ανά τύπο κτιρίου:</t>
  </si>
  <si>
    <t>Ανά Κλιματική Ζώνη:</t>
  </si>
  <si>
    <t>οικιακού τομέα πριν την υλοποίηση της παρέμβασης.</t>
  </si>
  <si>
    <t>ΥΠΟΛΟΓΙΣΜΟΣ ΕΤΗΣΙΑΣ ΖΗΤΗΣΗΣ ΘΕΡΜΑΝΣΗΣ ΧΩΡΩΝ ΑΝΑ ΚΑΤΟΙΚΙΑ</t>
  </si>
  <si>
    <t>Σ1</t>
  </si>
  <si>
    <t>Σ2</t>
  </si>
  <si>
    <t>Συντελεστής Σ1</t>
  </si>
  <si>
    <t>Συντελεστής Σ2</t>
  </si>
  <si>
    <t>(1)</t>
  </si>
  <si>
    <t>(2)</t>
  </si>
  <si>
    <t>(3)</t>
  </si>
  <si>
    <t>α/α</t>
  </si>
  <si>
    <t>(4)=(1)x(2)x(3)</t>
  </si>
  <si>
    <t>ΣΥΝΟΛΟ</t>
  </si>
  <si>
    <t>Ετήσια Ζήτηση Θέρμανσης ανά κατοικία - ENERGY DEMAND</t>
  </si>
  <si>
    <t xml:space="preserve"> (kWh/έτος) --&gt; (r5)</t>
  </si>
  <si>
    <t>Space heating demand (SHD) [kWh/έτος]</t>
  </si>
  <si>
    <t>(5)</t>
  </si>
  <si>
    <t>(6)</t>
  </si>
  <si>
    <t>(7)=(5)x(6)</t>
  </si>
  <si>
    <t>Ονομαστική θερμική απαίτηση οικισμού (ισχύει για κλιματική ζώνη Δ)</t>
  </si>
  <si>
    <t>Συντελεστής διόρθωσης σε κλιματικές ζώνες Γ και Δ</t>
  </si>
  <si>
    <t>ΥΠΟΛΟΓΙΣΜΟΣ ΕΤΗΣΙΑΣ ΖΗΤΗΣΗΣ ΘΕΡΜΑΝΣΗΣ ΧΩΡΩΝ ΑΝΑ ΚΑΤΟΙΚΙΑ - ΚΛΙΜΑΤΙΚΗ ΖΩΝΗ Δ (ΜΟΝΟ)</t>
  </si>
  <si>
    <t>ENERGY DEMAND (Δ)</t>
  </si>
  <si>
    <t>Συντελεστής Διόρθωσης:</t>
  </si>
  <si>
    <t xml:space="preserve"> (A)</t>
  </si>
  <si>
    <t xml:space="preserve"> (a10)=(0,05+0,12)/2*10^6*(a5)</t>
  </si>
  <si>
    <t>' 1-[(A)-(r5)]/(r5) --&gt; (a4)</t>
  </si>
  <si>
    <t>ΔΙΚΤΥΑ ΤΗΛΕΘΕΡΜΑΝΣΗΣ (ΕΠΕΚΤΑΣΗ)</t>
  </si>
  <si>
    <t>ΤΙΜΕΣ ΔΕΙΚΤΩΝ Τ4409 / CO34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</si>
</sst>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i/>
      <sz val="11"/>
      <color rgb="FF0070C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/>
    <xf numFmtId="0" fontId="0" fillId="2" borderId="1" xfId="0" applyFill="1" applyBorder="1"/>
    <xf numFmtId="3" fontId="0" fillId="2" borderId="1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0" fillId="2" borderId="0" xfId="0" applyNumberFormat="1" applyFill="1" applyAlignment="1">
      <alignment horizontal="center"/>
    </xf>
    <xf numFmtId="9" fontId="0" fillId="2" borderId="1" xfId="0" applyNumberFormat="1" applyFill="1" applyBorder="1" applyAlignment="1">
      <alignment horizontal="center"/>
    </xf>
    <xf numFmtId="3" fontId="0" fillId="4" borderId="5" xfId="0" applyNumberFormat="1" applyFill="1" applyBorder="1" applyAlignment="1">
      <alignment horizontal="center"/>
    </xf>
    <xf numFmtId="0" fontId="6" fillId="4" borderId="1" xfId="0" applyFont="1" applyFill="1" applyBorder="1"/>
    <xf numFmtId="0" fontId="0" fillId="4" borderId="1" xfId="0" quotePrefix="1" applyFill="1" applyBorder="1"/>
    <xf numFmtId="4" fontId="8" fillId="0" borderId="5" xfId="0" applyNumberFormat="1" applyFont="1" applyFill="1" applyBorder="1" applyAlignment="1">
      <alignment horizontal="right"/>
    </xf>
    <xf numFmtId="164" fontId="0" fillId="4" borderId="5" xfId="0" applyNumberFormat="1" applyFill="1" applyBorder="1" applyAlignment="1">
      <alignment horizontal="center"/>
    </xf>
    <xf numFmtId="3" fontId="5" fillId="4" borderId="5" xfId="0" applyNumberFormat="1" applyFont="1" applyFill="1" applyBorder="1" applyAlignment="1">
      <alignment horizontal="center"/>
    </xf>
    <xf numFmtId="164" fontId="8" fillId="2" borderId="5" xfId="0" applyNumberFormat="1" applyFont="1" applyFill="1" applyBorder="1" applyAlignment="1">
      <alignment horizontal="center"/>
    </xf>
    <xf numFmtId="0" fontId="7" fillId="4" borderId="1" xfId="0" applyFont="1" applyFill="1" applyBorder="1"/>
    <xf numFmtId="3" fontId="8" fillId="2" borderId="5" xfId="0" applyNumberFormat="1" applyFont="1" applyFill="1" applyBorder="1" applyAlignment="1">
      <alignment horizontal="center"/>
    </xf>
    <xf numFmtId="3" fontId="0" fillId="4" borderId="5" xfId="0" applyNumberFormat="1" applyFont="1" applyFill="1" applyBorder="1" applyAlignment="1">
      <alignment horizontal="center"/>
    </xf>
    <xf numFmtId="9" fontId="8" fillId="2" borderId="5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4" fontId="0" fillId="4" borderId="5" xfId="0" applyNumberFormat="1" applyFont="1" applyFill="1" applyBorder="1" applyAlignment="1">
      <alignment horizontal="right"/>
    </xf>
    <xf numFmtId="4" fontId="9" fillId="4" borderId="5" xfId="0" applyNumberFormat="1" applyFont="1" applyFill="1" applyBorder="1" applyAlignment="1">
      <alignment horizontal="right"/>
    </xf>
    <xf numFmtId="3" fontId="0" fillId="4" borderId="5" xfId="0" applyNumberFormat="1" applyFont="1" applyFill="1" applyBorder="1" applyAlignment="1">
      <alignment horizontal="right"/>
    </xf>
    <xf numFmtId="2" fontId="8" fillId="2" borderId="5" xfId="0" applyNumberFormat="1" applyFont="1" applyFill="1" applyBorder="1" applyAlignment="1">
      <alignment horizontal="center"/>
    </xf>
    <xf numFmtId="165" fontId="8" fillId="2" borderId="5" xfId="0" applyNumberFormat="1" applyFont="1" applyFill="1" applyBorder="1" applyAlignment="1">
      <alignment horizontal="center"/>
    </xf>
    <xf numFmtId="0" fontId="6" fillId="0" borderId="7" xfId="0" applyFont="1" applyFill="1" applyBorder="1"/>
    <xf numFmtId="0" fontId="0" fillId="0" borderId="7" xfId="0" quotePrefix="1" applyFill="1" applyBorder="1"/>
    <xf numFmtId="0" fontId="6" fillId="0" borderId="6" xfId="0" applyFont="1" applyFill="1" applyBorder="1"/>
    <xf numFmtId="0" fontId="0" fillId="0" borderId="6" xfId="0" quotePrefix="1" applyFill="1" applyBorder="1"/>
    <xf numFmtId="0" fontId="7" fillId="4" borderId="1" xfId="0" quotePrefix="1" applyFont="1" applyFill="1" applyBorder="1"/>
    <xf numFmtId="3" fontId="7" fillId="4" borderId="5" xfId="0" applyNumberFormat="1" applyFont="1" applyFill="1" applyBorder="1" applyAlignment="1">
      <alignment horizontal="center"/>
    </xf>
    <xf numFmtId="0" fontId="0" fillId="2" borderId="9" xfId="0" applyFill="1" applyBorder="1"/>
    <xf numFmtId="0" fontId="0" fillId="2" borderId="7" xfId="0" applyFill="1" applyBorder="1"/>
    <xf numFmtId="3" fontId="0" fillId="2" borderId="7" xfId="0" applyNumberFormat="1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0" xfId="0" applyFill="1" applyBorder="1"/>
    <xf numFmtId="3" fontId="0" fillId="2" borderId="0" xfId="0" applyNumberFormat="1" applyFill="1" applyBorder="1" applyAlignment="1">
      <alignment horizontal="center"/>
    </xf>
    <xf numFmtId="0" fontId="8" fillId="2" borderId="0" xfId="0" quotePrefix="1" applyFont="1" applyFill="1" applyBorder="1"/>
    <xf numFmtId="0" fontId="0" fillId="2" borderId="3" xfId="0" applyFill="1" applyBorder="1"/>
    <xf numFmtId="0" fontId="0" fillId="2" borderId="15" xfId="0" applyFill="1" applyBorder="1"/>
    <xf numFmtId="0" fontId="0" fillId="2" borderId="17" xfId="0" applyFill="1" applyBorder="1"/>
    <xf numFmtId="0" fontId="10" fillId="2" borderId="0" xfId="0" applyFont="1" applyFill="1"/>
    <xf numFmtId="0" fontId="6" fillId="2" borderId="0" xfId="0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3" fontId="0" fillId="2" borderId="17" xfId="0" applyNumberFormat="1" applyFill="1" applyBorder="1" applyAlignment="1">
      <alignment horizontal="center"/>
    </xf>
    <xf numFmtId="3" fontId="0" fillId="2" borderId="18" xfId="0" applyNumberFormat="1" applyFill="1" applyBorder="1" applyAlignment="1">
      <alignment horizontal="center"/>
    </xf>
    <xf numFmtId="3" fontId="0" fillId="2" borderId="20" xfId="0" applyNumberForma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3" fontId="0" fillId="2" borderId="21" xfId="0" applyNumberFormat="1" applyFill="1" applyBorder="1" applyAlignment="1">
      <alignment horizontal="center"/>
    </xf>
    <xf numFmtId="0" fontId="6" fillId="2" borderId="0" xfId="0" applyFont="1" applyFill="1" applyBorder="1"/>
    <xf numFmtId="9" fontId="0" fillId="2" borderId="0" xfId="0" applyNumberForma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3" fontId="0" fillId="2" borderId="0" xfId="0" applyNumberFormat="1" applyFill="1"/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2" borderId="17" xfId="0" applyFont="1" applyFill="1" applyBorder="1"/>
    <xf numFmtId="3" fontId="4" fillId="0" borderId="18" xfId="0" applyNumberFormat="1" applyFont="1" applyBorder="1" applyAlignment="1">
      <alignment horizontal="center"/>
    </xf>
    <xf numFmtId="0" fontId="4" fillId="2" borderId="1" xfId="0" applyFont="1" applyFill="1" applyBorder="1"/>
    <xf numFmtId="3" fontId="4" fillId="2" borderId="20" xfId="0" applyNumberFormat="1" applyFont="1" applyFill="1" applyBorder="1" applyAlignment="1">
      <alignment horizontal="center"/>
    </xf>
    <xf numFmtId="0" fontId="4" fillId="2" borderId="15" xfId="0" applyFont="1" applyFill="1" applyBorder="1"/>
    <xf numFmtId="3" fontId="4" fillId="2" borderId="21" xfId="0" applyNumberFormat="1" applyFont="1" applyFill="1" applyBorder="1" applyAlignment="1">
      <alignment horizontal="center"/>
    </xf>
    <xf numFmtId="0" fontId="4" fillId="2" borderId="3" xfId="0" applyFont="1" applyFill="1" applyBorder="1"/>
    <xf numFmtId="3" fontId="4" fillId="2" borderId="22" xfId="0" applyNumberFormat="1" applyFont="1" applyFill="1" applyBorder="1" applyAlignment="1">
      <alignment horizontal="center"/>
    </xf>
    <xf numFmtId="0" fontId="4" fillId="2" borderId="2" xfId="0" applyFont="1" applyFill="1" applyBorder="1"/>
    <xf numFmtId="3" fontId="4" fillId="2" borderId="27" xfId="0" applyNumberFormat="1" applyFont="1" applyFill="1" applyBorder="1" applyAlignment="1">
      <alignment horizontal="center"/>
    </xf>
    <xf numFmtId="3" fontId="4" fillId="2" borderId="18" xfId="0" applyNumberFormat="1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4" fillId="2" borderId="28" xfId="0" applyFont="1" applyFill="1" applyBorder="1"/>
    <xf numFmtId="0" fontId="4" fillId="2" borderId="30" xfId="0" applyFont="1" applyFill="1" applyBorder="1"/>
    <xf numFmtId="0" fontId="4" fillId="2" borderId="31" xfId="0" applyFont="1" applyFill="1" applyBorder="1"/>
    <xf numFmtId="0" fontId="0" fillId="2" borderId="0" xfId="0" quotePrefix="1" applyFill="1"/>
    <xf numFmtId="3" fontId="0" fillId="2" borderId="3" xfId="0" applyNumberFormat="1" applyFill="1" applyBorder="1" applyAlignment="1">
      <alignment horizontal="center"/>
    </xf>
    <xf numFmtId="9" fontId="0" fillId="2" borderId="33" xfId="0" applyNumberFormat="1" applyFill="1" applyBorder="1" applyAlignment="1">
      <alignment horizontal="center"/>
    </xf>
    <xf numFmtId="9" fontId="0" fillId="2" borderId="21" xfId="0" applyNumberForma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center"/>
    </xf>
    <xf numFmtId="9" fontId="0" fillId="2" borderId="20" xfId="0" applyNumberFormat="1" applyFill="1" applyBorder="1" applyAlignment="1">
      <alignment horizontal="center"/>
    </xf>
    <xf numFmtId="0" fontId="4" fillId="3" borderId="38" xfId="0" applyFont="1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9" fontId="0" fillId="2" borderId="3" xfId="0" applyNumberFormat="1" applyFill="1" applyBorder="1" applyAlignment="1">
      <alignment horizontal="center"/>
    </xf>
    <xf numFmtId="9" fontId="0" fillId="2" borderId="22" xfId="0" applyNumberFormat="1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4" fillId="0" borderId="25" xfId="0" quotePrefix="1" applyFont="1" applyFill="1" applyBorder="1" applyAlignment="1">
      <alignment horizontal="center"/>
    </xf>
    <xf numFmtId="0" fontId="0" fillId="2" borderId="26" xfId="0" quotePrefix="1" applyFill="1" applyBorder="1" applyAlignment="1">
      <alignment horizontal="center"/>
    </xf>
    <xf numFmtId="0" fontId="4" fillId="3" borderId="39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3" fontId="4" fillId="5" borderId="21" xfId="0" applyNumberFormat="1" applyFont="1" applyFill="1" applyBorder="1" applyAlignment="1">
      <alignment horizontal="center"/>
    </xf>
    <xf numFmtId="4" fontId="0" fillId="4" borderId="4" xfId="0" quotePrefix="1" applyNumberFormat="1" applyFill="1" applyBorder="1" applyAlignment="1">
      <alignment horizontal="left"/>
    </xf>
    <xf numFmtId="4" fontId="7" fillId="4" borderId="4" xfId="0" quotePrefix="1" applyNumberFormat="1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9" fontId="0" fillId="2" borderId="15" xfId="0" applyNumberFormat="1" applyFill="1" applyBorder="1" applyAlignment="1">
      <alignment horizontal="center"/>
    </xf>
    <xf numFmtId="0" fontId="3" fillId="0" borderId="25" xfId="0" quotePrefix="1" applyFont="1" applyFill="1" applyBorder="1" applyAlignment="1">
      <alignment horizontal="center"/>
    </xf>
    <xf numFmtId="3" fontId="0" fillId="2" borderId="22" xfId="0" applyNumberFormat="1" applyFill="1" applyBorder="1" applyAlignment="1">
      <alignment horizontal="center"/>
    </xf>
    <xf numFmtId="3" fontId="7" fillId="4" borderId="26" xfId="0" applyNumberFormat="1" applyFont="1" applyFill="1" applyBorder="1" applyAlignment="1">
      <alignment horizontal="center"/>
    </xf>
    <xf numFmtId="0" fontId="2" fillId="3" borderId="36" xfId="0" applyFont="1" applyFill="1" applyBorder="1" applyAlignment="1">
      <alignment horizontal="center"/>
    </xf>
    <xf numFmtId="0" fontId="1" fillId="3" borderId="37" xfId="0" applyFont="1" applyFill="1" applyBorder="1" applyAlignment="1">
      <alignment horizontal="center"/>
    </xf>
    <xf numFmtId="3" fontId="7" fillId="2" borderId="0" xfId="0" applyNumberFormat="1" applyFont="1" applyFill="1" applyBorder="1" applyAlignment="1">
      <alignment horizontal="center"/>
    </xf>
    <xf numFmtId="10" fontId="7" fillId="4" borderId="26" xfId="0" applyNumberFormat="1" applyFont="1" applyFill="1" applyBorder="1" applyAlignment="1">
      <alignment horizontal="center"/>
    </xf>
    <xf numFmtId="10" fontId="9" fillId="4" borderId="5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3" fontId="7" fillId="4" borderId="43" xfId="0" applyNumberFormat="1" applyFont="1" applyFill="1" applyBorder="1" applyAlignment="1">
      <alignment horizontal="center"/>
    </xf>
    <xf numFmtId="3" fontId="7" fillId="4" borderId="34" xfId="0" applyNumberFormat="1" applyFont="1" applyFill="1" applyBorder="1" applyAlignment="1">
      <alignment horizontal="center"/>
    </xf>
    <xf numFmtId="3" fontId="7" fillId="4" borderId="35" xfId="0" applyNumberFormat="1" applyFont="1" applyFill="1" applyBorder="1" applyAlignment="1">
      <alignment horizontal="center"/>
    </xf>
    <xf numFmtId="0" fontId="4" fillId="3" borderId="43" xfId="0" applyFont="1" applyFill="1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0" borderId="43" xfId="0" quotePrefix="1" applyFont="1" applyFill="1" applyBorder="1" applyAlignment="1">
      <alignment horizontal="center"/>
    </xf>
    <xf numFmtId="0" fontId="4" fillId="0" borderId="34" xfId="0" quotePrefix="1" applyFont="1" applyFill="1" applyBorder="1" applyAlignment="1">
      <alignment horizontal="center"/>
    </xf>
    <xf numFmtId="0" fontId="4" fillId="0" borderId="35" xfId="0" quotePrefix="1" applyFont="1" applyFill="1" applyBorder="1" applyAlignment="1">
      <alignment horizontal="center"/>
    </xf>
    <xf numFmtId="3" fontId="0" fillId="2" borderId="44" xfId="0" applyNumberFormat="1" applyFill="1" applyBorder="1" applyAlignment="1">
      <alignment horizontal="center"/>
    </xf>
    <xf numFmtId="3" fontId="0" fillId="2" borderId="45" xfId="0" applyNumberFormat="1" applyFill="1" applyBorder="1" applyAlignment="1">
      <alignment horizontal="center"/>
    </xf>
    <xf numFmtId="3" fontId="0" fillId="2" borderId="46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  <xf numFmtId="3" fontId="0" fillId="2" borderId="41" xfId="0" applyNumberFormat="1" applyFill="1" applyBorder="1" applyAlignment="1">
      <alignment horizontal="center"/>
    </xf>
    <xf numFmtId="3" fontId="0" fillId="2" borderId="47" xfId="0" applyNumberFormat="1" applyFill="1" applyBorder="1" applyAlignment="1">
      <alignment horizontal="center"/>
    </xf>
    <xf numFmtId="3" fontId="0" fillId="2" borderId="48" xfId="0" applyNumberFormat="1" applyFill="1" applyBorder="1" applyAlignment="1">
      <alignment horizontal="center"/>
    </xf>
    <xf numFmtId="3" fontId="0" fillId="2" borderId="49" xfId="0" applyNumberForma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left"/>
    </xf>
    <xf numFmtId="0" fontId="7" fillId="2" borderId="10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133350</xdr:rowOff>
    </xdr:from>
    <xdr:to>
      <xdr:col>5</xdr:col>
      <xdr:colOff>9525</xdr:colOff>
      <xdr:row>22</xdr:row>
      <xdr:rowOff>95250</xdr:rowOff>
    </xdr:to>
    <xdr:sp macro="" textlink="">
      <xdr:nvSpPr>
        <xdr:cNvPr id="5" name="Ορθογώνιο 4"/>
        <xdr:cNvSpPr/>
      </xdr:nvSpPr>
      <xdr:spPr>
        <a:xfrm>
          <a:off x="314325" y="3562350"/>
          <a:ext cx="10086975" cy="723900"/>
        </a:xfrm>
        <a:prstGeom prst="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l-GR" sz="1100"/>
        </a:p>
      </xdr:txBody>
    </xdr: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zoomScaleNormal="100" zoomScaleSheetLayoutView="100" workbookViewId="0">
      <selection activeCell="B20" sqref="B20:E20"/>
    </sheetView>
  </sheetViews>
  <sheetFormatPr defaultRowHeight="15" x14ac:dyDescent="0.25"/>
  <cols>
    <col min="1" max="1" width="4.7109375" style="1" customWidth="1"/>
    <col min="2" max="2" width="82.5703125" style="1" bestFit="1" customWidth="1"/>
    <col min="3" max="3" width="15.42578125" style="6" customWidth="1"/>
    <col min="4" max="4" width="17.7109375" style="6" bestFit="1" customWidth="1"/>
    <col min="5" max="5" width="35.42578125" style="1" bestFit="1" customWidth="1"/>
    <col min="6" max="6" width="4.7109375" style="1" customWidth="1"/>
    <col min="7" max="16384" width="9.140625" style="1"/>
  </cols>
  <sheetData>
    <row r="1" spans="1:6" x14ac:dyDescent="0.25">
      <c r="A1" s="31"/>
      <c r="B1" s="114" t="s">
        <v>129</v>
      </c>
      <c r="C1" s="114"/>
      <c r="D1" s="114"/>
      <c r="E1" s="114"/>
      <c r="F1" s="34"/>
    </row>
    <row r="2" spans="1:6" x14ac:dyDescent="0.25">
      <c r="A2" s="35"/>
      <c r="B2" s="115" t="s">
        <v>65</v>
      </c>
      <c r="C2" s="116"/>
      <c r="D2" s="116"/>
      <c r="E2" s="117"/>
      <c r="F2" s="36"/>
    </row>
    <row r="3" spans="1:6" x14ac:dyDescent="0.25">
      <c r="A3" s="35"/>
      <c r="B3" s="9" t="s">
        <v>33</v>
      </c>
      <c r="C3" s="11">
        <v>10000000</v>
      </c>
      <c r="D3" s="101" t="s">
        <v>30</v>
      </c>
      <c r="E3" s="10" t="s">
        <v>28</v>
      </c>
      <c r="F3" s="36"/>
    </row>
    <row r="4" spans="1:6" x14ac:dyDescent="0.25">
      <c r="A4" s="35"/>
      <c r="B4" s="9" t="s">
        <v>37</v>
      </c>
      <c r="C4" s="14">
        <v>2.4</v>
      </c>
      <c r="D4" s="101" t="s">
        <v>38</v>
      </c>
      <c r="E4" s="10" t="s">
        <v>29</v>
      </c>
      <c r="F4" s="36"/>
    </row>
    <row r="5" spans="1:6" x14ac:dyDescent="0.25">
      <c r="A5" s="35"/>
      <c r="B5" s="9" t="s">
        <v>61</v>
      </c>
      <c r="C5" s="18">
        <f>64%</f>
        <v>0.64</v>
      </c>
      <c r="D5" s="101"/>
      <c r="E5" s="10" t="s">
        <v>68</v>
      </c>
      <c r="F5" s="36"/>
    </row>
    <row r="6" spans="1:6" x14ac:dyDescent="0.25">
      <c r="A6" s="35"/>
      <c r="B6" s="9" t="s">
        <v>59</v>
      </c>
      <c r="C6" s="18">
        <v>0.99</v>
      </c>
      <c r="D6" s="101"/>
      <c r="E6" s="10" t="s">
        <v>36</v>
      </c>
      <c r="F6" s="36"/>
    </row>
    <row r="7" spans="1:6" x14ac:dyDescent="0.25">
      <c r="A7" s="35"/>
      <c r="B7" s="9" t="s">
        <v>60</v>
      </c>
      <c r="C7" s="23">
        <v>1.1000000000000001</v>
      </c>
      <c r="D7" s="101"/>
      <c r="E7" s="10" t="s">
        <v>39</v>
      </c>
      <c r="F7" s="36"/>
    </row>
    <row r="8" spans="1:6" x14ac:dyDescent="0.25">
      <c r="A8" s="35"/>
      <c r="B8" s="9" t="s">
        <v>62</v>
      </c>
      <c r="C8" s="23">
        <v>0.7</v>
      </c>
      <c r="D8" s="101"/>
      <c r="E8" s="10" t="s">
        <v>69</v>
      </c>
      <c r="F8" s="36"/>
    </row>
    <row r="9" spans="1:6" x14ac:dyDescent="0.25">
      <c r="A9" s="35"/>
      <c r="B9" s="9" t="s">
        <v>63</v>
      </c>
      <c r="C9" s="24">
        <v>0.26400000000000001</v>
      </c>
      <c r="D9" s="101" t="s">
        <v>78</v>
      </c>
      <c r="E9" s="10" t="s">
        <v>57</v>
      </c>
      <c r="F9" s="36"/>
    </row>
    <row r="10" spans="1:6" x14ac:dyDescent="0.25">
      <c r="A10" s="35"/>
      <c r="B10" s="9" t="s">
        <v>64</v>
      </c>
      <c r="C10" s="24">
        <v>0.34699999999999998</v>
      </c>
      <c r="D10" s="101" t="s">
        <v>78</v>
      </c>
      <c r="E10" s="10" t="s">
        <v>58</v>
      </c>
      <c r="F10" s="36"/>
    </row>
    <row r="11" spans="1:6" x14ac:dyDescent="0.25">
      <c r="A11" s="35"/>
      <c r="B11" s="25"/>
      <c r="C11" s="38"/>
      <c r="D11" s="38"/>
      <c r="E11" s="26"/>
      <c r="F11" s="36"/>
    </row>
    <row r="12" spans="1:6" x14ac:dyDescent="0.25">
      <c r="A12" s="35"/>
      <c r="B12" s="115" t="s">
        <v>76</v>
      </c>
      <c r="C12" s="116"/>
      <c r="D12" s="116"/>
      <c r="E12" s="117"/>
      <c r="F12" s="36"/>
    </row>
    <row r="13" spans="1:6" x14ac:dyDescent="0.25">
      <c r="A13" s="35"/>
      <c r="B13" s="9" t="s">
        <v>27</v>
      </c>
      <c r="C13" s="21">
        <f>C41</f>
        <v>850</v>
      </c>
      <c r="D13" s="101" t="s">
        <v>31</v>
      </c>
      <c r="E13" s="10" t="s">
        <v>70</v>
      </c>
      <c r="F13" s="36"/>
    </row>
    <row r="14" spans="1:6" x14ac:dyDescent="0.25">
      <c r="A14" s="35"/>
      <c r="B14" s="9" t="s">
        <v>26</v>
      </c>
      <c r="C14" s="12">
        <f>C3/(C13*1000)</f>
        <v>11.764705882352942</v>
      </c>
      <c r="D14" s="101" t="s">
        <v>32</v>
      </c>
      <c r="E14" s="10" t="s">
        <v>72</v>
      </c>
      <c r="F14" s="36"/>
    </row>
    <row r="15" spans="1:6" x14ac:dyDescent="0.25">
      <c r="A15" s="35"/>
      <c r="B15" s="9" t="s">
        <v>34</v>
      </c>
      <c r="C15" s="13">
        <f>C30</f>
        <v>232</v>
      </c>
      <c r="D15" s="101" t="s">
        <v>35</v>
      </c>
      <c r="E15" s="10" t="s">
        <v>73</v>
      </c>
      <c r="F15" s="36"/>
    </row>
    <row r="16" spans="1:6" x14ac:dyDescent="0.25">
      <c r="A16" s="35"/>
      <c r="B16" s="9" t="s">
        <v>21</v>
      </c>
      <c r="C16" s="8">
        <f>ROUND((C15*'DISTRICT HEATING_CO32_CO34_calc'!C14)/C4,0)</f>
        <v>1137</v>
      </c>
      <c r="D16" s="101" t="s">
        <v>40</v>
      </c>
      <c r="E16" s="10" t="s">
        <v>75</v>
      </c>
      <c r="F16" s="36"/>
    </row>
    <row r="17" spans="1:6" x14ac:dyDescent="0.25">
      <c r="A17" s="35"/>
      <c r="B17" s="9" t="s">
        <v>87</v>
      </c>
      <c r="C17" s="8">
        <f>help_data_BU!C74</f>
        <v>19605.39423076923</v>
      </c>
      <c r="D17" s="101" t="s">
        <v>81</v>
      </c>
      <c r="E17" s="10" t="s">
        <v>80</v>
      </c>
      <c r="F17" s="36"/>
    </row>
    <row r="18" spans="1:6" x14ac:dyDescent="0.25">
      <c r="A18" s="35"/>
      <c r="B18" s="9" t="s">
        <v>88</v>
      </c>
      <c r="C18" s="8">
        <f>ROUND(C16*C17/1000,2)</f>
        <v>22291.33</v>
      </c>
      <c r="D18" s="101" t="s">
        <v>67</v>
      </c>
      <c r="E18" s="10" t="s">
        <v>82</v>
      </c>
      <c r="F18" s="36"/>
    </row>
    <row r="19" spans="1:6" x14ac:dyDescent="0.25">
      <c r="A19" s="35"/>
      <c r="B19" s="27"/>
      <c r="C19" s="38"/>
      <c r="D19" s="38"/>
      <c r="E19" s="28"/>
      <c r="F19" s="36"/>
    </row>
    <row r="20" spans="1:6" x14ac:dyDescent="0.25">
      <c r="A20" s="35"/>
      <c r="B20" s="115" t="s">
        <v>130</v>
      </c>
      <c r="C20" s="116"/>
      <c r="D20" s="116"/>
      <c r="E20" s="117"/>
      <c r="F20" s="36"/>
    </row>
    <row r="21" spans="1:6" x14ac:dyDescent="0.25">
      <c r="A21" s="35"/>
      <c r="B21" s="15" t="s">
        <v>66</v>
      </c>
      <c r="C21" s="30">
        <f>(C18/C5)*C7-(C18/C6)*C8</f>
        <v>22551.67697285354</v>
      </c>
      <c r="D21" s="102" t="s">
        <v>67</v>
      </c>
      <c r="E21" s="29" t="s">
        <v>83</v>
      </c>
      <c r="F21" s="36"/>
    </row>
    <row r="22" spans="1:6" x14ac:dyDescent="0.25">
      <c r="A22" s="35"/>
      <c r="B22" s="15" t="s">
        <v>77</v>
      </c>
      <c r="C22" s="30">
        <f>(C18/C5)*C9-(C18/C6)*C10</f>
        <v>1381.9498775252541</v>
      </c>
      <c r="D22" s="102" t="s">
        <v>79</v>
      </c>
      <c r="E22" s="29" t="s">
        <v>84</v>
      </c>
      <c r="F22" s="36"/>
    </row>
    <row r="23" spans="1:6" x14ac:dyDescent="0.25">
      <c r="A23" s="35"/>
      <c r="B23" s="37"/>
      <c r="C23" s="38"/>
      <c r="D23" s="38"/>
      <c r="E23" s="37"/>
      <c r="F23" s="36"/>
    </row>
    <row r="24" spans="1:6" x14ac:dyDescent="0.25">
      <c r="A24" s="35"/>
      <c r="B24" s="115" t="s">
        <v>74</v>
      </c>
      <c r="C24" s="116"/>
      <c r="D24" s="116"/>
      <c r="E24" s="117"/>
      <c r="F24" s="36"/>
    </row>
    <row r="25" spans="1:6" x14ac:dyDescent="0.25">
      <c r="A25" s="35"/>
      <c r="B25" s="9" t="s">
        <v>2</v>
      </c>
      <c r="C25" s="16">
        <v>2500</v>
      </c>
      <c r="D25" s="101" t="s">
        <v>41</v>
      </c>
      <c r="E25" s="10" t="s">
        <v>42</v>
      </c>
      <c r="F25" s="36"/>
    </row>
    <row r="26" spans="1:6" x14ac:dyDescent="0.25">
      <c r="A26" s="35"/>
      <c r="B26" s="9" t="s">
        <v>121</v>
      </c>
      <c r="C26" s="17">
        <f>0.001*C25*51.398*C25^(-0.2671)</f>
        <v>15.896314717260585</v>
      </c>
      <c r="D26" s="101" t="s">
        <v>32</v>
      </c>
      <c r="E26" s="10" t="s">
        <v>43</v>
      </c>
      <c r="F26" s="36"/>
    </row>
    <row r="27" spans="1:6" x14ac:dyDescent="0.25">
      <c r="A27" s="35"/>
      <c r="B27" s="15" t="s">
        <v>3</v>
      </c>
      <c r="C27" s="18">
        <v>0.7</v>
      </c>
      <c r="D27" s="101"/>
      <c r="E27" s="10" t="s">
        <v>44</v>
      </c>
      <c r="F27" s="36"/>
    </row>
    <row r="28" spans="1:6" x14ac:dyDescent="0.25">
      <c r="A28" s="35"/>
      <c r="B28" s="15" t="s">
        <v>122</v>
      </c>
      <c r="C28" s="113">
        <f>help_data_BU!D84</f>
        <v>0.96837065544657297</v>
      </c>
      <c r="D28" s="101"/>
      <c r="E28" s="10" t="s">
        <v>85</v>
      </c>
      <c r="F28" s="36"/>
    </row>
    <row r="29" spans="1:6" x14ac:dyDescent="0.25">
      <c r="A29" s="35"/>
      <c r="B29" s="9" t="s">
        <v>4</v>
      </c>
      <c r="C29" s="17">
        <f>C27*C26*C28</f>
        <v>10.775467291357046</v>
      </c>
      <c r="D29" s="101" t="s">
        <v>32</v>
      </c>
      <c r="E29" s="10" t="s">
        <v>46</v>
      </c>
      <c r="F29" s="36"/>
    </row>
    <row r="30" spans="1:6" x14ac:dyDescent="0.25">
      <c r="A30" s="35"/>
      <c r="B30" s="9" t="s">
        <v>34</v>
      </c>
      <c r="C30" s="17">
        <f>ROUND(C25/C29,0)</f>
        <v>232</v>
      </c>
      <c r="D30" s="101" t="s">
        <v>35</v>
      </c>
      <c r="E30" s="10" t="s">
        <v>45</v>
      </c>
      <c r="F30" s="36"/>
    </row>
    <row r="31" spans="1:6" x14ac:dyDescent="0.25">
      <c r="A31" s="35"/>
      <c r="B31" s="37"/>
      <c r="C31" s="38"/>
      <c r="D31" s="38"/>
      <c r="E31" s="37"/>
      <c r="F31" s="36"/>
    </row>
    <row r="32" spans="1:6" x14ac:dyDescent="0.25">
      <c r="A32" s="35"/>
      <c r="B32" s="37"/>
      <c r="C32" s="38"/>
      <c r="D32" s="38"/>
      <c r="E32" s="37"/>
      <c r="F32" s="36"/>
    </row>
    <row r="33" spans="1:6" x14ac:dyDescent="0.25">
      <c r="A33" s="35"/>
      <c r="B33" s="115" t="s">
        <v>71</v>
      </c>
      <c r="C33" s="116"/>
      <c r="D33" s="116"/>
      <c r="E33" s="117"/>
      <c r="F33" s="36"/>
    </row>
    <row r="34" spans="1:6" x14ac:dyDescent="0.25">
      <c r="A34" s="35"/>
      <c r="B34" s="9" t="s">
        <v>0</v>
      </c>
      <c r="C34" s="22">
        <f>ROUND((155764*C29^(-0.5199))*C35*C29,2)</f>
        <v>3657639.78</v>
      </c>
      <c r="D34" s="101" t="s">
        <v>30</v>
      </c>
      <c r="E34" s="10" t="s">
        <v>47</v>
      </c>
      <c r="F34" s="36"/>
    </row>
    <row r="35" spans="1:6" x14ac:dyDescent="0.25">
      <c r="A35" s="35"/>
      <c r="B35" s="9" t="s">
        <v>25</v>
      </c>
      <c r="C35" s="19">
        <v>7.5</v>
      </c>
      <c r="D35" s="101" t="s">
        <v>49</v>
      </c>
      <c r="E35" s="10" t="s">
        <v>48</v>
      </c>
      <c r="F35" s="36"/>
    </row>
    <row r="36" spans="1:6" x14ac:dyDescent="0.25">
      <c r="A36" s="35"/>
      <c r="B36" s="9" t="s">
        <v>1</v>
      </c>
      <c r="C36" s="22">
        <f>ROUND((7000*C25^(-0.1889))*C25,2)</f>
        <v>3991785.36</v>
      </c>
      <c r="D36" s="101" t="s">
        <v>30</v>
      </c>
      <c r="E36" s="10" t="s">
        <v>50</v>
      </c>
      <c r="F36" s="36"/>
    </row>
    <row r="37" spans="1:6" x14ac:dyDescent="0.25">
      <c r="A37" s="35"/>
      <c r="B37" s="9" t="s">
        <v>22</v>
      </c>
      <c r="C37" s="22">
        <f>(0.05+0.12)/2*10^6*C29</f>
        <v>915914.71976534871</v>
      </c>
      <c r="D37" s="101" t="s">
        <v>30</v>
      </c>
      <c r="E37" s="10" t="s">
        <v>127</v>
      </c>
      <c r="F37" s="36"/>
    </row>
    <row r="38" spans="1:6" x14ac:dyDescent="0.25">
      <c r="A38" s="35"/>
      <c r="B38" s="9" t="s">
        <v>23</v>
      </c>
      <c r="C38" s="22">
        <f>10%*(C34+C36)</f>
        <v>764942.51399999997</v>
      </c>
      <c r="D38" s="101" t="s">
        <v>30</v>
      </c>
      <c r="E38" s="10" t="s">
        <v>51</v>
      </c>
      <c r="F38" s="36"/>
    </row>
    <row r="39" spans="1:6" x14ac:dyDescent="0.25">
      <c r="A39" s="35"/>
      <c r="B39" s="9" t="s">
        <v>24</v>
      </c>
      <c r="C39" s="22">
        <f>C36+C34+C37+C38</f>
        <v>9330282.3737653494</v>
      </c>
      <c r="D39" s="101" t="s">
        <v>30</v>
      </c>
      <c r="E39" s="10" t="s">
        <v>52</v>
      </c>
      <c r="F39" s="36"/>
    </row>
    <row r="40" spans="1:6" x14ac:dyDescent="0.25">
      <c r="A40" s="35"/>
      <c r="B40" s="9" t="s">
        <v>53</v>
      </c>
      <c r="C40" s="20">
        <f>ROUND(C39/(C29*1000),2)</f>
        <v>865.88</v>
      </c>
      <c r="D40" s="101" t="s">
        <v>30</v>
      </c>
      <c r="E40" s="10" t="s">
        <v>54</v>
      </c>
      <c r="F40" s="36"/>
    </row>
    <row r="41" spans="1:6" x14ac:dyDescent="0.25">
      <c r="A41" s="35"/>
      <c r="B41" s="9" t="s">
        <v>55</v>
      </c>
      <c r="C41" s="11">
        <v>850</v>
      </c>
      <c r="D41" s="101" t="s">
        <v>30</v>
      </c>
      <c r="E41" s="10" t="s">
        <v>56</v>
      </c>
      <c r="F41" s="36"/>
    </row>
    <row r="42" spans="1:6" x14ac:dyDescent="0.25">
      <c r="A42" s="35"/>
      <c r="B42" s="37"/>
      <c r="C42" s="38"/>
      <c r="D42" s="38"/>
      <c r="E42" s="37"/>
      <c r="F42" s="36"/>
    </row>
    <row r="43" spans="1:6" x14ac:dyDescent="0.25">
      <c r="A43" s="35"/>
      <c r="B43" s="39" t="s">
        <v>86</v>
      </c>
      <c r="C43" s="38"/>
      <c r="D43" s="38"/>
      <c r="E43" s="37"/>
      <c r="F43" s="36"/>
    </row>
    <row r="44" spans="1:6" x14ac:dyDescent="0.25">
      <c r="A44" s="35"/>
      <c r="B44" s="39"/>
      <c r="C44" s="38"/>
      <c r="D44" s="38"/>
      <c r="E44" s="37"/>
      <c r="F44" s="36"/>
    </row>
    <row r="45" spans="1:6" ht="5.25" customHeight="1" x14ac:dyDescent="0.25">
      <c r="A45" s="32"/>
      <c r="B45" s="32"/>
      <c r="C45" s="33"/>
      <c r="D45" s="33"/>
      <c r="E45" s="32"/>
      <c r="F45" s="32"/>
    </row>
  </sheetData>
  <mergeCells count="6">
    <mergeCell ref="B1:E1"/>
    <mergeCell ref="B24:E24"/>
    <mergeCell ref="B33:E33"/>
    <mergeCell ref="B2:E2"/>
    <mergeCell ref="B12:E12"/>
    <mergeCell ref="B20:E20"/>
  </mergeCells>
  <pageMargins left="0.70866141732283472" right="0.70866141732283472" top="0.55118110236220474" bottom="0.55118110236220474" header="0.31496062992125984" footer="0.31496062992125984"/>
  <pageSetup paperSize="9" scale="7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zoomScaleNormal="100" workbookViewId="0"/>
  </sheetViews>
  <sheetFormatPr defaultRowHeight="15" x14ac:dyDescent="0.25"/>
  <cols>
    <col min="1" max="1" width="3.85546875" style="1" customWidth="1"/>
    <col min="2" max="2" width="14" style="1" bestFit="1" customWidth="1"/>
    <col min="3" max="3" width="15" style="1" bestFit="1" customWidth="1"/>
    <col min="4" max="4" width="20.28515625" style="1" bestFit="1" customWidth="1"/>
    <col min="5" max="5" width="19.42578125" style="1" bestFit="1" customWidth="1"/>
    <col min="6" max="6" width="21.7109375" style="1" bestFit="1" customWidth="1"/>
    <col min="7" max="7" width="3.42578125" style="1" customWidth="1"/>
    <col min="8" max="16384" width="9.140625" style="1"/>
  </cols>
  <sheetData>
    <row r="1" spans="2:7" x14ac:dyDescent="0.25">
      <c r="B1" s="43" t="s">
        <v>89</v>
      </c>
      <c r="C1" s="43"/>
      <c r="D1" s="43"/>
      <c r="E1" s="43"/>
      <c r="F1" s="43"/>
      <c r="G1" s="43"/>
    </row>
    <row r="2" spans="2:7" x14ac:dyDescent="0.25">
      <c r="B2" s="153" t="s">
        <v>90</v>
      </c>
      <c r="C2" s="153"/>
      <c r="D2" s="153"/>
      <c r="E2" s="153"/>
      <c r="F2" s="153"/>
      <c r="G2" s="153"/>
    </row>
    <row r="3" spans="2:7" x14ac:dyDescent="0.25">
      <c r="B3" s="153" t="s">
        <v>91</v>
      </c>
      <c r="C3" s="153"/>
      <c r="D3" s="153"/>
      <c r="E3" s="153"/>
      <c r="F3" s="153"/>
      <c r="G3" s="153"/>
    </row>
    <row r="4" spans="2:7" x14ac:dyDescent="0.25">
      <c r="B4" s="153" t="s">
        <v>92</v>
      </c>
      <c r="C4" s="153"/>
      <c r="D4" s="153"/>
      <c r="E4" s="153"/>
      <c r="F4" s="153"/>
      <c r="G4" s="43"/>
    </row>
    <row r="5" spans="2:7" ht="15.75" thickBot="1" x14ac:dyDescent="0.3">
      <c r="B5" s="43" t="s">
        <v>93</v>
      </c>
      <c r="C5" s="43"/>
      <c r="D5" s="43"/>
      <c r="E5" s="43"/>
      <c r="F5" s="43"/>
      <c r="G5" s="43"/>
    </row>
    <row r="6" spans="2:7" ht="15.75" thickBot="1" x14ac:dyDescent="0.3">
      <c r="B6" s="62" t="s">
        <v>5</v>
      </c>
      <c r="C6" s="63" t="s">
        <v>6</v>
      </c>
      <c r="D6" s="63" t="s">
        <v>7</v>
      </c>
      <c r="E6" s="64" t="s">
        <v>8</v>
      </c>
    </row>
    <row r="7" spans="2:7" x14ac:dyDescent="0.25">
      <c r="B7" s="150" t="s">
        <v>9</v>
      </c>
      <c r="C7" s="65" t="s">
        <v>10</v>
      </c>
      <c r="D7" s="65" t="s">
        <v>11</v>
      </c>
      <c r="E7" s="66">
        <v>13624</v>
      </c>
    </row>
    <row r="8" spans="2:7" x14ac:dyDescent="0.25">
      <c r="B8" s="151"/>
      <c r="C8" s="67" t="s">
        <v>10</v>
      </c>
      <c r="D8" s="67" t="s">
        <v>12</v>
      </c>
      <c r="E8" s="68">
        <v>7384</v>
      </c>
    </row>
    <row r="9" spans="2:7" x14ac:dyDescent="0.25">
      <c r="B9" s="151"/>
      <c r="C9" s="67" t="s">
        <v>10</v>
      </c>
      <c r="D9" s="67" t="s">
        <v>13</v>
      </c>
      <c r="E9" s="68">
        <v>5970</v>
      </c>
    </row>
    <row r="10" spans="2:7" ht="15.75" thickBot="1" x14ac:dyDescent="0.3">
      <c r="B10" s="151"/>
      <c r="C10" s="69" t="s">
        <v>14</v>
      </c>
      <c r="D10" s="69" t="s">
        <v>15</v>
      </c>
      <c r="E10" s="70">
        <v>10943</v>
      </c>
    </row>
    <row r="11" spans="2:7" x14ac:dyDescent="0.25">
      <c r="B11" s="151"/>
      <c r="C11" s="71" t="s">
        <v>16</v>
      </c>
      <c r="D11" s="71" t="s">
        <v>11</v>
      </c>
      <c r="E11" s="72">
        <v>15836</v>
      </c>
    </row>
    <row r="12" spans="2:7" x14ac:dyDescent="0.25">
      <c r="B12" s="151"/>
      <c r="C12" s="67" t="s">
        <v>16</v>
      </c>
      <c r="D12" s="67" t="s">
        <v>12</v>
      </c>
      <c r="E12" s="68">
        <v>9914</v>
      </c>
    </row>
    <row r="13" spans="2:7" x14ac:dyDescent="0.25">
      <c r="B13" s="151"/>
      <c r="C13" s="67" t="s">
        <v>16</v>
      </c>
      <c r="D13" s="67" t="s">
        <v>13</v>
      </c>
      <c r="E13" s="68">
        <v>6217</v>
      </c>
    </row>
    <row r="14" spans="2:7" ht="15.75" thickBot="1" x14ac:dyDescent="0.3">
      <c r="B14" s="151"/>
      <c r="C14" s="73" t="s">
        <v>17</v>
      </c>
      <c r="D14" s="73" t="s">
        <v>15</v>
      </c>
      <c r="E14" s="74">
        <v>13228</v>
      </c>
    </row>
    <row r="15" spans="2:7" x14ac:dyDescent="0.25">
      <c r="B15" s="151"/>
      <c r="C15" s="65" t="s">
        <v>18</v>
      </c>
      <c r="D15" s="65" t="s">
        <v>11</v>
      </c>
      <c r="E15" s="75">
        <v>28114</v>
      </c>
    </row>
    <row r="16" spans="2:7" x14ac:dyDescent="0.25">
      <c r="B16" s="151"/>
      <c r="C16" s="67" t="s">
        <v>18</v>
      </c>
      <c r="D16" s="67" t="s">
        <v>12</v>
      </c>
      <c r="E16" s="68">
        <v>18658</v>
      </c>
    </row>
    <row r="17" spans="2:5" x14ac:dyDescent="0.25">
      <c r="B17" s="151"/>
      <c r="C17" s="67" t="s">
        <v>18</v>
      </c>
      <c r="D17" s="67" t="s">
        <v>13</v>
      </c>
      <c r="E17" s="68">
        <v>13163</v>
      </c>
    </row>
    <row r="18" spans="2:5" ht="15.75" thickBot="1" x14ac:dyDescent="0.3">
      <c r="B18" s="151"/>
      <c r="C18" s="69" t="s">
        <v>18</v>
      </c>
      <c r="D18" s="69" t="s">
        <v>15</v>
      </c>
      <c r="E18" s="100">
        <v>23962</v>
      </c>
    </row>
    <row r="19" spans="2:5" x14ac:dyDescent="0.25">
      <c r="B19" s="151"/>
      <c r="C19" s="71" t="s">
        <v>19</v>
      </c>
      <c r="D19" s="71" t="s">
        <v>11</v>
      </c>
      <c r="E19" s="72">
        <v>31008</v>
      </c>
    </row>
    <row r="20" spans="2:5" x14ac:dyDescent="0.25">
      <c r="B20" s="151"/>
      <c r="C20" s="67" t="s">
        <v>19</v>
      </c>
      <c r="D20" s="67" t="s">
        <v>12</v>
      </c>
      <c r="E20" s="68">
        <v>18800</v>
      </c>
    </row>
    <row r="21" spans="2:5" x14ac:dyDescent="0.25">
      <c r="B21" s="151"/>
      <c r="C21" s="67" t="s">
        <v>19</v>
      </c>
      <c r="D21" s="67" t="s">
        <v>13</v>
      </c>
      <c r="E21" s="68">
        <v>14597</v>
      </c>
    </row>
    <row r="22" spans="2:5" ht="15.75" thickBot="1" x14ac:dyDescent="0.3">
      <c r="B22" s="152"/>
      <c r="C22" s="69" t="s">
        <v>19</v>
      </c>
      <c r="D22" s="69" t="s">
        <v>15</v>
      </c>
      <c r="E22" s="100">
        <v>25679</v>
      </c>
    </row>
    <row r="23" spans="2:5" x14ac:dyDescent="0.25">
      <c r="B23" s="150" t="s">
        <v>20</v>
      </c>
      <c r="C23" s="65" t="s">
        <v>10</v>
      </c>
      <c r="D23" s="65" t="s">
        <v>11</v>
      </c>
      <c r="E23" s="75">
        <v>60148</v>
      </c>
    </row>
    <row r="24" spans="2:5" x14ac:dyDescent="0.25">
      <c r="B24" s="151"/>
      <c r="C24" s="67" t="s">
        <v>10</v>
      </c>
      <c r="D24" s="67" t="s">
        <v>12</v>
      </c>
      <c r="E24" s="68">
        <v>33754</v>
      </c>
    </row>
    <row r="25" spans="2:5" x14ac:dyDescent="0.25">
      <c r="B25" s="151"/>
      <c r="C25" s="67" t="s">
        <v>10</v>
      </c>
      <c r="D25" s="67" t="s">
        <v>13</v>
      </c>
      <c r="E25" s="68">
        <v>26999</v>
      </c>
    </row>
    <row r="26" spans="2:5" ht="15.75" thickBot="1" x14ac:dyDescent="0.3">
      <c r="B26" s="151"/>
      <c r="C26" s="73" t="s">
        <v>14</v>
      </c>
      <c r="D26" s="73" t="s">
        <v>15</v>
      </c>
      <c r="E26" s="74">
        <v>48796</v>
      </c>
    </row>
    <row r="27" spans="2:5" x14ac:dyDescent="0.25">
      <c r="B27" s="151"/>
      <c r="C27" s="65" t="s">
        <v>16</v>
      </c>
      <c r="D27" s="65" t="s">
        <v>11</v>
      </c>
      <c r="E27" s="75">
        <v>91308</v>
      </c>
    </row>
    <row r="28" spans="2:5" x14ac:dyDescent="0.25">
      <c r="B28" s="151"/>
      <c r="C28" s="67" t="s">
        <v>16</v>
      </c>
      <c r="D28" s="67" t="s">
        <v>12</v>
      </c>
      <c r="E28" s="68">
        <v>48378</v>
      </c>
    </row>
    <row r="29" spans="2:5" x14ac:dyDescent="0.25">
      <c r="B29" s="151"/>
      <c r="C29" s="67" t="s">
        <v>16</v>
      </c>
      <c r="D29" s="67" t="s">
        <v>13</v>
      </c>
      <c r="E29" s="68">
        <v>39983</v>
      </c>
    </row>
    <row r="30" spans="2:5" ht="15.75" thickBot="1" x14ac:dyDescent="0.3">
      <c r="B30" s="151"/>
      <c r="C30" s="69" t="s">
        <v>17</v>
      </c>
      <c r="D30" s="69" t="s">
        <v>15</v>
      </c>
      <c r="E30" s="70">
        <v>72681</v>
      </c>
    </row>
    <row r="31" spans="2:5" x14ac:dyDescent="0.25">
      <c r="B31" s="151"/>
      <c r="C31" s="71" t="s">
        <v>18</v>
      </c>
      <c r="D31" s="71" t="s">
        <v>11</v>
      </c>
      <c r="E31" s="72">
        <v>188036</v>
      </c>
    </row>
    <row r="32" spans="2:5" x14ac:dyDescent="0.25">
      <c r="B32" s="151"/>
      <c r="C32" s="67" t="s">
        <v>18</v>
      </c>
      <c r="D32" s="67" t="s">
        <v>12</v>
      </c>
      <c r="E32" s="68">
        <v>100025</v>
      </c>
    </row>
    <row r="33" spans="2:6" x14ac:dyDescent="0.25">
      <c r="B33" s="151"/>
      <c r="C33" s="67" t="s">
        <v>18</v>
      </c>
      <c r="D33" s="67" t="s">
        <v>13</v>
      </c>
      <c r="E33" s="68">
        <v>85225</v>
      </c>
    </row>
    <row r="34" spans="2:6" ht="15.75" thickBot="1" x14ac:dyDescent="0.3">
      <c r="B34" s="151"/>
      <c r="C34" s="69" t="s">
        <v>18</v>
      </c>
      <c r="D34" s="69" t="s">
        <v>15</v>
      </c>
      <c r="E34" s="100">
        <v>149866</v>
      </c>
    </row>
    <row r="35" spans="2:6" x14ac:dyDescent="0.25">
      <c r="B35" s="151"/>
      <c r="C35" s="71" t="s">
        <v>19</v>
      </c>
      <c r="D35" s="71" t="s">
        <v>11</v>
      </c>
      <c r="E35" s="72">
        <v>166106</v>
      </c>
    </row>
    <row r="36" spans="2:6" x14ac:dyDescent="0.25">
      <c r="B36" s="151"/>
      <c r="C36" s="67" t="s">
        <v>19</v>
      </c>
      <c r="D36" s="67" t="s">
        <v>12</v>
      </c>
      <c r="E36" s="68">
        <v>89901</v>
      </c>
    </row>
    <row r="37" spans="2:6" x14ac:dyDescent="0.25">
      <c r="B37" s="151"/>
      <c r="C37" s="67" t="s">
        <v>19</v>
      </c>
      <c r="D37" s="67" t="s">
        <v>13</v>
      </c>
      <c r="E37" s="68">
        <v>70634</v>
      </c>
    </row>
    <row r="38" spans="2:6" ht="15.75" thickBot="1" x14ac:dyDescent="0.3">
      <c r="B38" s="152"/>
      <c r="C38" s="69" t="s">
        <v>19</v>
      </c>
      <c r="D38" s="69" t="s">
        <v>15</v>
      </c>
      <c r="E38" s="100">
        <v>132948</v>
      </c>
    </row>
    <row r="39" spans="2:6" x14ac:dyDescent="0.25">
      <c r="B39" s="44"/>
      <c r="C39" s="37"/>
      <c r="D39" s="37"/>
      <c r="E39" s="45"/>
    </row>
    <row r="40" spans="2:6" x14ac:dyDescent="0.25">
      <c r="B40" s="47" t="s">
        <v>94</v>
      </c>
      <c r="C40" s="142" t="s">
        <v>95</v>
      </c>
      <c r="D40" s="142"/>
      <c r="E40" s="143"/>
    </row>
    <row r="41" spans="2:6" x14ac:dyDescent="0.25">
      <c r="B41" s="48"/>
      <c r="C41" s="144" t="s">
        <v>103</v>
      </c>
      <c r="D41" s="144"/>
      <c r="E41" s="145"/>
    </row>
    <row r="42" spans="2:6" x14ac:dyDescent="0.25">
      <c r="B42" s="60" t="s">
        <v>94</v>
      </c>
      <c r="C42" s="146" t="s">
        <v>117</v>
      </c>
      <c r="D42" s="146"/>
      <c r="E42" s="147"/>
    </row>
    <row r="43" spans="2:6" ht="15.75" thickBot="1" x14ac:dyDescent="0.3">
      <c r="B43" s="44"/>
      <c r="C43" s="49"/>
      <c r="D43" s="49"/>
      <c r="E43" s="49"/>
    </row>
    <row r="44" spans="2:6" ht="15.75" thickBot="1" x14ac:dyDescent="0.3">
      <c r="B44" s="141" t="s">
        <v>96</v>
      </c>
      <c r="C44" s="121"/>
      <c r="D44" s="121"/>
      <c r="E44" s="121"/>
      <c r="F44" s="122"/>
    </row>
    <row r="45" spans="2:6" ht="15.75" thickBot="1" x14ac:dyDescent="0.3">
      <c r="B45" s="76" t="s">
        <v>97</v>
      </c>
      <c r="C45" s="63" t="s">
        <v>6</v>
      </c>
      <c r="D45" s="63" t="s">
        <v>98</v>
      </c>
      <c r="E45" s="63" t="s">
        <v>8</v>
      </c>
      <c r="F45" s="64" t="s">
        <v>99</v>
      </c>
    </row>
    <row r="46" spans="2:6" x14ac:dyDescent="0.25">
      <c r="B46" s="77" t="s">
        <v>9</v>
      </c>
      <c r="C46" s="42" t="s">
        <v>19</v>
      </c>
      <c r="D46" s="51">
        <v>1</v>
      </c>
      <c r="E46" s="52">
        <f>E22</f>
        <v>25679</v>
      </c>
      <c r="F46" s="53">
        <f>E46/D46</f>
        <v>25679</v>
      </c>
    </row>
    <row r="47" spans="2:6" x14ac:dyDescent="0.25">
      <c r="B47" s="78" t="s">
        <v>20</v>
      </c>
      <c r="C47" s="2" t="s">
        <v>19</v>
      </c>
      <c r="D47" s="50">
        <v>9</v>
      </c>
      <c r="E47" s="3">
        <f>E38</f>
        <v>132948</v>
      </c>
      <c r="F47" s="54">
        <f t="shared" ref="F47:F49" si="0">E47/D47</f>
        <v>14772</v>
      </c>
    </row>
    <row r="48" spans="2:6" x14ac:dyDescent="0.25">
      <c r="B48" s="78" t="s">
        <v>9</v>
      </c>
      <c r="C48" s="2" t="s">
        <v>18</v>
      </c>
      <c r="D48" s="50">
        <v>1</v>
      </c>
      <c r="E48" s="3">
        <f>E18</f>
        <v>23962</v>
      </c>
      <c r="F48" s="54">
        <f t="shared" si="0"/>
        <v>23962</v>
      </c>
    </row>
    <row r="49" spans="1:6" ht="15.75" thickBot="1" x14ac:dyDescent="0.3">
      <c r="B49" s="79" t="s">
        <v>20</v>
      </c>
      <c r="C49" s="41" t="s">
        <v>18</v>
      </c>
      <c r="D49" s="55">
        <v>13</v>
      </c>
      <c r="E49" s="56">
        <f>E34</f>
        <v>149866</v>
      </c>
      <c r="F49" s="57">
        <f t="shared" si="0"/>
        <v>11528.153846153846</v>
      </c>
    </row>
    <row r="50" spans="1:6" x14ac:dyDescent="0.25">
      <c r="B50" s="58"/>
      <c r="C50" s="37"/>
      <c r="D50" s="46"/>
      <c r="E50" s="38"/>
      <c r="F50" s="38"/>
    </row>
    <row r="51" spans="1:6" x14ac:dyDescent="0.25">
      <c r="B51" s="58" t="s">
        <v>100</v>
      </c>
      <c r="C51" s="37"/>
      <c r="D51" s="46"/>
      <c r="E51" s="38"/>
      <c r="F51" s="38"/>
    </row>
    <row r="52" spans="1:6" x14ac:dyDescent="0.25">
      <c r="B52" s="58" t="s">
        <v>101</v>
      </c>
      <c r="C52" s="37"/>
      <c r="D52" s="46"/>
      <c r="E52" s="38"/>
      <c r="F52" s="38"/>
    </row>
    <row r="53" spans="1:6" x14ac:dyDescent="0.25">
      <c r="A53" s="148" t="s">
        <v>105</v>
      </c>
      <c r="B53" s="67" t="s">
        <v>9</v>
      </c>
      <c r="C53" s="7">
        <v>0.5</v>
      </c>
    </row>
    <row r="54" spans="1:6" x14ac:dyDescent="0.25">
      <c r="A54" s="149"/>
      <c r="B54" s="67" t="s">
        <v>20</v>
      </c>
      <c r="C54" s="7">
        <v>0.5</v>
      </c>
      <c r="E54" s="99"/>
    </row>
    <row r="55" spans="1:6" x14ac:dyDescent="0.25">
      <c r="B55" s="58"/>
      <c r="C55" s="59"/>
    </row>
    <row r="56" spans="1:6" x14ac:dyDescent="0.25">
      <c r="B56" s="5" t="s">
        <v>102</v>
      </c>
      <c r="C56" s="4"/>
    </row>
    <row r="57" spans="1:6" x14ac:dyDescent="0.25">
      <c r="A57" s="148" t="s">
        <v>106</v>
      </c>
      <c r="B57" s="67" t="s">
        <v>19</v>
      </c>
      <c r="C57" s="7">
        <v>0.75</v>
      </c>
    </row>
    <row r="58" spans="1:6" x14ac:dyDescent="0.25">
      <c r="A58" s="149"/>
      <c r="B58" s="67" t="s">
        <v>18</v>
      </c>
      <c r="C58" s="7">
        <v>0.25</v>
      </c>
    </row>
    <row r="59" spans="1:6" ht="15.75" thickBot="1" x14ac:dyDescent="0.3"/>
    <row r="60" spans="1:6" ht="15.75" thickBot="1" x14ac:dyDescent="0.3">
      <c r="A60" s="141" t="s">
        <v>104</v>
      </c>
      <c r="B60" s="121"/>
      <c r="C60" s="121"/>
      <c r="D60" s="121"/>
      <c r="E60" s="121"/>
      <c r="F60" s="122"/>
    </row>
    <row r="61" spans="1:6" ht="15.75" thickBot="1" x14ac:dyDescent="0.3">
      <c r="A61" s="87" t="s">
        <v>112</v>
      </c>
      <c r="B61" s="63" t="s">
        <v>6</v>
      </c>
      <c r="C61" s="84" t="s">
        <v>97</v>
      </c>
      <c r="D61" s="84" t="s">
        <v>99</v>
      </c>
      <c r="E61" s="84" t="s">
        <v>107</v>
      </c>
      <c r="F61" s="85" t="s">
        <v>108</v>
      </c>
    </row>
    <row r="62" spans="1:6" ht="15.75" thickBot="1" x14ac:dyDescent="0.3">
      <c r="A62" s="93"/>
      <c r="B62" s="94"/>
      <c r="C62" s="94"/>
      <c r="D62" s="95" t="s">
        <v>109</v>
      </c>
      <c r="E62" s="95" t="s">
        <v>110</v>
      </c>
      <c r="F62" s="96" t="s">
        <v>111</v>
      </c>
    </row>
    <row r="63" spans="1:6" x14ac:dyDescent="0.25">
      <c r="A63" s="90">
        <v>1</v>
      </c>
      <c r="B63" s="40" t="s">
        <v>19</v>
      </c>
      <c r="C63" s="40" t="s">
        <v>9</v>
      </c>
      <c r="D63" s="81">
        <f>F46</f>
        <v>25679</v>
      </c>
      <c r="E63" s="91">
        <f>C53</f>
        <v>0.5</v>
      </c>
      <c r="F63" s="92">
        <f>C57</f>
        <v>0.75</v>
      </c>
    </row>
    <row r="64" spans="1:6" x14ac:dyDescent="0.25">
      <c r="A64" s="88">
        <v>2</v>
      </c>
      <c r="B64" s="2" t="s">
        <v>19</v>
      </c>
      <c r="C64" s="2" t="s">
        <v>20</v>
      </c>
      <c r="D64" s="3">
        <f>F47</f>
        <v>14772</v>
      </c>
      <c r="E64" s="7">
        <f>C54</f>
        <v>0.5</v>
      </c>
      <c r="F64" s="86">
        <f>C57</f>
        <v>0.75</v>
      </c>
    </row>
    <row r="65" spans="1:6" x14ac:dyDescent="0.25">
      <c r="A65" s="88">
        <v>3</v>
      </c>
      <c r="B65" s="2" t="s">
        <v>18</v>
      </c>
      <c r="C65" s="2" t="s">
        <v>9</v>
      </c>
      <c r="D65" s="3">
        <f t="shared" ref="D65:D66" si="1">F48</f>
        <v>23962</v>
      </c>
      <c r="E65" s="7">
        <f>C53</f>
        <v>0.5</v>
      </c>
      <c r="F65" s="86">
        <f>C58</f>
        <v>0.25</v>
      </c>
    </row>
    <row r="66" spans="1:6" ht="15.75" thickBot="1" x14ac:dyDescent="0.3">
      <c r="A66" s="89">
        <v>4</v>
      </c>
      <c r="B66" s="41" t="s">
        <v>18</v>
      </c>
      <c r="C66" s="41" t="s">
        <v>20</v>
      </c>
      <c r="D66" s="56">
        <f t="shared" si="1"/>
        <v>11528.153846153846</v>
      </c>
      <c r="E66" s="82">
        <f>C54</f>
        <v>0.5</v>
      </c>
      <c r="F66" s="83">
        <f>C58</f>
        <v>0.25</v>
      </c>
    </row>
    <row r="67" spans="1:6" ht="15.75" thickBot="1" x14ac:dyDescent="0.3"/>
    <row r="68" spans="1:6" ht="15.75" thickBot="1" x14ac:dyDescent="0.3">
      <c r="B68" s="97" t="s">
        <v>112</v>
      </c>
      <c r="C68" s="126" t="s">
        <v>115</v>
      </c>
      <c r="D68" s="127"/>
      <c r="E68" s="128"/>
    </row>
    <row r="69" spans="1:6" ht="15.75" thickBot="1" x14ac:dyDescent="0.3">
      <c r="B69" s="93"/>
      <c r="C69" s="129" t="s">
        <v>113</v>
      </c>
      <c r="D69" s="130"/>
      <c r="E69" s="131"/>
    </row>
    <row r="70" spans="1:6" x14ac:dyDescent="0.25">
      <c r="B70" s="90">
        <v>1</v>
      </c>
      <c r="C70" s="132">
        <f>D63*E63*F63</f>
        <v>9629.625</v>
      </c>
      <c r="D70" s="133"/>
      <c r="E70" s="134"/>
      <c r="F70" s="61"/>
    </row>
    <row r="71" spans="1:6" x14ac:dyDescent="0.25">
      <c r="B71" s="88">
        <v>2</v>
      </c>
      <c r="C71" s="135">
        <f>D64*E64*F64</f>
        <v>5539.5</v>
      </c>
      <c r="D71" s="136"/>
      <c r="E71" s="137"/>
    </row>
    <row r="72" spans="1:6" x14ac:dyDescent="0.25">
      <c r="B72" s="88">
        <v>3</v>
      </c>
      <c r="C72" s="135">
        <f>D65*E65*F65</f>
        <v>2995.25</v>
      </c>
      <c r="D72" s="136"/>
      <c r="E72" s="137"/>
    </row>
    <row r="73" spans="1:6" ht="15.75" thickBot="1" x14ac:dyDescent="0.3">
      <c r="B73" s="89">
        <v>4</v>
      </c>
      <c r="C73" s="138">
        <f>D66*E66*F66</f>
        <v>1441.0192307692307</v>
      </c>
      <c r="D73" s="139"/>
      <c r="E73" s="140"/>
    </row>
    <row r="74" spans="1:6" ht="15.75" thickBot="1" x14ac:dyDescent="0.3">
      <c r="B74" s="98" t="s">
        <v>114</v>
      </c>
      <c r="C74" s="123">
        <f>SUM(C70:E73)</f>
        <v>19605.39423076923</v>
      </c>
      <c r="D74" s="124"/>
      <c r="E74" s="125"/>
      <c r="F74" s="80" t="s">
        <v>116</v>
      </c>
    </row>
    <row r="75" spans="1:6" ht="15.75" thickBot="1" x14ac:dyDescent="0.3">
      <c r="B75" s="49"/>
      <c r="C75" s="103"/>
      <c r="E75" s="103"/>
      <c r="F75" s="80"/>
    </row>
    <row r="76" spans="1:6" ht="15.75" thickBot="1" x14ac:dyDescent="0.3">
      <c r="A76" s="120" t="s">
        <v>123</v>
      </c>
      <c r="B76" s="121"/>
      <c r="C76" s="121"/>
      <c r="D76" s="121"/>
      <c r="E76" s="121"/>
      <c r="F76" s="122"/>
    </row>
    <row r="77" spans="1:6" ht="15.75" thickBot="1" x14ac:dyDescent="0.3">
      <c r="A77" s="87" t="s">
        <v>112</v>
      </c>
      <c r="B77" s="63" t="s">
        <v>6</v>
      </c>
      <c r="C77" s="84" t="s">
        <v>97</v>
      </c>
      <c r="D77" s="84" t="s">
        <v>99</v>
      </c>
      <c r="E77" s="109" t="s">
        <v>107</v>
      </c>
      <c r="F77" s="110" t="s">
        <v>124</v>
      </c>
    </row>
    <row r="78" spans="1:6" ht="15.75" thickBot="1" x14ac:dyDescent="0.3">
      <c r="A78" s="93"/>
      <c r="B78" s="94"/>
      <c r="C78" s="94"/>
      <c r="D78" s="106" t="s">
        <v>118</v>
      </c>
      <c r="E78" s="106" t="s">
        <v>119</v>
      </c>
      <c r="F78" s="96" t="s">
        <v>120</v>
      </c>
    </row>
    <row r="79" spans="1:6" x14ac:dyDescent="0.25">
      <c r="A79" s="90">
        <v>1</v>
      </c>
      <c r="B79" s="40" t="s">
        <v>19</v>
      </c>
      <c r="C79" s="40" t="s">
        <v>9</v>
      </c>
      <c r="D79" s="81">
        <f>D63</f>
        <v>25679</v>
      </c>
      <c r="E79" s="91">
        <f>C53</f>
        <v>0.5</v>
      </c>
      <c r="F79" s="107">
        <f>D79*E79</f>
        <v>12839.5</v>
      </c>
    </row>
    <row r="80" spans="1:6" ht="15.75" thickBot="1" x14ac:dyDescent="0.3">
      <c r="A80" s="104">
        <v>2</v>
      </c>
      <c r="B80" s="41" t="s">
        <v>19</v>
      </c>
      <c r="C80" s="41" t="s">
        <v>20</v>
      </c>
      <c r="D80" s="56">
        <f>D64</f>
        <v>14772</v>
      </c>
      <c r="E80" s="105">
        <f>C54</f>
        <v>0.5</v>
      </c>
      <c r="F80" s="57">
        <f>D80*E80</f>
        <v>7386</v>
      </c>
    </row>
    <row r="81" spans="1:7" ht="15.75" thickBot="1" x14ac:dyDescent="0.3">
      <c r="A81" s="46"/>
      <c r="B81" s="37"/>
      <c r="C81" s="37"/>
      <c r="D81" s="38"/>
      <c r="E81" s="98" t="s">
        <v>114</v>
      </c>
      <c r="F81" s="108">
        <f>SUM(F77:H80)</f>
        <v>20225.5</v>
      </c>
      <c r="G81" s="80" t="s">
        <v>126</v>
      </c>
    </row>
    <row r="83" spans="1:7" ht="15.75" thickBot="1" x14ac:dyDescent="0.3">
      <c r="B83" s="49"/>
      <c r="F83" s="80"/>
    </row>
    <row r="84" spans="1:7" ht="15.75" thickBot="1" x14ac:dyDescent="0.3">
      <c r="B84" s="118" t="s">
        <v>125</v>
      </c>
      <c r="C84" s="119"/>
      <c r="D84" s="112">
        <f>1-(F81-C74)/C74</f>
        <v>0.96837065544657297</v>
      </c>
      <c r="E84" s="80" t="s">
        <v>128</v>
      </c>
      <c r="F84" s="80"/>
    </row>
    <row r="85" spans="1:7" x14ac:dyDescent="0.25">
      <c r="B85" s="49"/>
      <c r="D85" s="111"/>
      <c r="F85" s="80"/>
    </row>
    <row r="86" spans="1:7" x14ac:dyDescent="0.25">
      <c r="B86" s="49"/>
      <c r="F86" s="80"/>
    </row>
  </sheetData>
  <mergeCells count="21">
    <mergeCell ref="B7:B22"/>
    <mergeCell ref="B23:B38"/>
    <mergeCell ref="B2:G2"/>
    <mergeCell ref="B3:G3"/>
    <mergeCell ref="B4:F4"/>
    <mergeCell ref="A60:F60"/>
    <mergeCell ref="C40:E40"/>
    <mergeCell ref="C41:E41"/>
    <mergeCell ref="B44:F44"/>
    <mergeCell ref="C42:E42"/>
    <mergeCell ref="A57:A58"/>
    <mergeCell ref="A53:A54"/>
    <mergeCell ref="B84:C84"/>
    <mergeCell ref="A76:F76"/>
    <mergeCell ref="C74:E74"/>
    <mergeCell ref="C68:E68"/>
    <mergeCell ref="C69:E69"/>
    <mergeCell ref="C70:E70"/>
    <mergeCell ref="C71:E71"/>
    <mergeCell ref="C72:E72"/>
    <mergeCell ref="C73:E73"/>
  </mergeCells>
  <pageMargins left="0.39370078740157483" right="0.39370078740157483" top="0.39370078740157483" bottom="0.3937007874015748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DISTRICT HEATING_CO32_CO34_calc</vt:lpstr>
      <vt:lpstr>help_data_BU</vt:lpstr>
      <vt:lpstr>'DISTRICT HEATING_CO32_CO34_calc'!Print_Area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2018-04-26T10:12:22Z</dcterms:created>
  <dcterms:modified xsi:type="dcterms:W3CDTF">2018-10-02T09:59:04Z</dcterms:modified>
</cp:coreProperties>
</file>